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venue Sources" sheetId="1" r:id="rId4"/>
    <sheet state="visible" name="Sheet6" sheetId="2" r:id="rId5"/>
  </sheets>
  <definedNames/>
  <calcPr/>
</workbook>
</file>

<file path=xl/sharedStrings.xml><?xml version="1.0" encoding="utf-8"?>
<sst xmlns="http://schemas.openxmlformats.org/spreadsheetml/2006/main" count="70" uniqueCount="59">
  <si>
    <t>2021-22</t>
  </si>
  <si>
    <t>2022-23</t>
  </si>
  <si>
    <t>2023-24</t>
  </si>
  <si>
    <t>2024-25</t>
  </si>
  <si>
    <t>2025-26</t>
  </si>
  <si>
    <t>2026-27</t>
  </si>
  <si>
    <t>Variance</t>
  </si>
  <si>
    <t>Percentage</t>
  </si>
  <si>
    <t>Share of Budget</t>
  </si>
  <si>
    <t>General Fund</t>
  </si>
  <si>
    <t>State/EPS Model</t>
  </si>
  <si>
    <t>Approved</t>
  </si>
  <si>
    <t>Proposed</t>
  </si>
  <si>
    <t>Subsidy</t>
  </si>
  <si>
    <t>State Subsidy</t>
  </si>
  <si>
    <t>CTE</t>
  </si>
  <si>
    <t>Debt Service - CTE</t>
  </si>
  <si>
    <t>Debt Service-Farwell</t>
  </si>
  <si>
    <t>State Debt Service</t>
  </si>
  <si>
    <t>Debt Service-Geiger</t>
  </si>
  <si>
    <t>Debt Service-Connors</t>
  </si>
  <si>
    <t>Total FY 27 GF Budget</t>
  </si>
  <si>
    <t>Total State</t>
  </si>
  <si>
    <t>Local</t>
  </si>
  <si>
    <t>Minimum Local 15671-A</t>
  </si>
  <si>
    <t>Local Only Debt Service</t>
  </si>
  <si>
    <t xml:space="preserve">Additional Local </t>
  </si>
  <si>
    <t>Total Local</t>
  </si>
  <si>
    <t>Other</t>
  </si>
  <si>
    <t>State Agency Client</t>
  </si>
  <si>
    <t>1 cent on mil rate</t>
  </si>
  <si>
    <t>MeCare Reimbursement</t>
  </si>
  <si>
    <t>1% of FY 26 budget:</t>
  </si>
  <si>
    <t>Copies of Spec. Ed. Records</t>
  </si>
  <si>
    <t>1% of FY 26 local:</t>
  </si>
  <si>
    <t>Building Rentals</t>
  </si>
  <si>
    <t>Gate Receipts</t>
  </si>
  <si>
    <t>CTE: Other Districts</t>
  </si>
  <si>
    <t>Interest Revenue</t>
  </si>
  <si>
    <t>Miscellaneous</t>
  </si>
  <si>
    <t>Total Other</t>
  </si>
  <si>
    <t>Education Reserve</t>
  </si>
  <si>
    <t>Fund Balance</t>
  </si>
  <si>
    <t>Total General Fund</t>
  </si>
  <si>
    <t>Adult Education</t>
  </si>
  <si>
    <t xml:space="preserve">State  </t>
  </si>
  <si>
    <t>Total Adult Education</t>
  </si>
  <si>
    <t>Grand Total Fund Balance &amp; Reserve</t>
  </si>
  <si>
    <t>Fund Balance/Reserve</t>
  </si>
  <si>
    <t>Grand Total State</t>
  </si>
  <si>
    <t>State</t>
  </si>
  <si>
    <t>Grand Total Local</t>
  </si>
  <si>
    <t>Grand Total Other</t>
  </si>
  <si>
    <t>Grand Total Revenue</t>
  </si>
  <si>
    <t>City Property Valuation</t>
  </si>
  <si>
    <t>Mil Rate For Education</t>
  </si>
  <si>
    <t>Health Savings</t>
  </si>
  <si>
    <t>Increase on $150K home</t>
  </si>
  <si>
    <t>Updated 4/29/26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</si>
</sst>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7">
    <numFmt numFmtId="164" formatCode="&quot;$&quot;#,##0_);[Red]\(&quot;$&quot;#,##0\)"/>
    <numFmt numFmtId="165" formatCode="0.0%"/>
    <numFmt numFmtId="166" formatCode="&quot;$&quot;#,##0.00_);[Red]\(&quot;$&quot;#,##0.00\)"/>
    <numFmt numFmtId="167" formatCode="_(&quot;$&quot;* #,##0_);_(&quot;$&quot;* \(#,##0\);_(&quot;$&quot;* &quot;-&quot;??_);_(@_)"/>
    <numFmt numFmtId="168" formatCode="_(* #,##0_);_(* \(#,##0\);_(* &quot;-&quot;??_);_(@_)"/>
    <numFmt numFmtId="169" formatCode="&quot;$&quot;#,##0.00"/>
    <numFmt numFmtId="170" formatCode="0.000%"/>
  </numFmts>
  <fonts count="15">
    <font>
      <sz val="10.0"/>
      <color rgb="FF000000"/>
      <name val="Verdana"/>
    </font>
    <font>
      <b/>
      <u/>
      <sz val="11.0"/>
      <name val="Arimo"/>
    </font>
    <font>
      <b/>
      <u/>
      <sz val="11.0"/>
      <name val="Arimo"/>
    </font>
    <font>
      <b/>
      <u/>
      <sz val="11.0"/>
      <name val="Arimo"/>
    </font>
    <font>
      <b/>
    </font>
    <font>
      <b/>
      <sz val="12.0"/>
      <name val="Arimo"/>
    </font>
    <font>
      <b/>
      <i/>
      <sz val="11.0"/>
      <name val="Arimo"/>
    </font>
    <font>
      <sz val="11.0"/>
      <name val="Arimo"/>
    </font>
    <font>
      <b/>
      <sz val="11.0"/>
      <name val="Arimo"/>
    </font>
    <font>
      <b/>
      <u/>
      <sz val="11.0"/>
      <name val="Arimo"/>
    </font>
    <font>
      <b/>
      <u/>
      <sz val="11.0"/>
      <name val="Arimo"/>
    </font>
    <font/>
    <font>
      <sz val="10.0"/>
      <name val="Verdana"/>
    </font>
    <font>
      <sz val="11.0"/>
      <name val="Verdana"/>
    </font>
    <font>
      <i/>
    </font>
  </fonts>
  <fills count="3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</fills>
  <borders count="15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right/>
      <top/>
      <bottom/>
    </border>
    <border>
      <right/>
      <bottom/>
    </border>
    <border>
      <right/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/>
      <right/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</border>
    <border>
      <right/>
    </border>
    <border>
      <left/>
      <right/>
      <bottom/>
    </border>
  </borders>
  <cellStyleXfs count="1">
    <xf borderId="0" fillId="0" fontId="0" numFmtId="0" applyAlignment="1" applyFont="1"/>
  </cellStyleXfs>
  <cellXfs count="84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readingOrder="0"/>
    </xf>
    <xf borderId="0" fillId="2" fontId="2" numFmtId="0" xfId="0" applyAlignment="1" applyFill="1" applyFont="1">
      <alignment readingOrder="0"/>
    </xf>
    <xf borderId="0" fillId="0" fontId="3" numFmtId="0" xfId="0" applyFont="1"/>
    <xf borderId="0" fillId="0" fontId="4" numFmtId="0" xfId="0" applyAlignment="1" applyFont="1">
      <alignment readingOrder="0"/>
    </xf>
    <xf borderId="1" fillId="0" fontId="5" numFmtId="0" xfId="0" applyAlignment="1" applyBorder="1" applyFont="1">
      <alignment readingOrder="0"/>
    </xf>
    <xf borderId="1" fillId="0" fontId="6" numFmtId="164" xfId="0" applyBorder="1" applyFont="1" applyNumberFormat="1"/>
    <xf borderId="1" fillId="2" fontId="6" numFmtId="164" xfId="0" applyBorder="1" applyFont="1" applyNumberFormat="1"/>
    <xf borderId="1" fillId="0" fontId="7" numFmtId="165" xfId="0" applyBorder="1" applyFont="1" applyNumberFormat="1"/>
    <xf borderId="2" fillId="0" fontId="8" numFmtId="0" xfId="0" applyBorder="1" applyFont="1"/>
    <xf borderId="0" fillId="0" fontId="9" numFmtId="0" xfId="0" applyAlignment="1" applyFont="1">
      <alignment horizontal="center"/>
    </xf>
    <xf borderId="3" fillId="0" fontId="10" numFmtId="0" xfId="0" applyAlignment="1" applyBorder="1" applyFont="1">
      <alignment horizontal="center" readingOrder="0"/>
    </xf>
    <xf borderId="1" fillId="2" fontId="8" numFmtId="0" xfId="0" applyAlignment="1" applyBorder="1" applyFont="1">
      <alignment readingOrder="0"/>
    </xf>
    <xf borderId="0" fillId="0" fontId="8" numFmtId="0" xfId="0" applyFont="1"/>
    <xf borderId="4" fillId="0" fontId="7" numFmtId="0" xfId="0" applyBorder="1" applyFont="1"/>
    <xf borderId="0" fillId="0" fontId="7" numFmtId="0" xfId="0" applyFont="1"/>
    <xf borderId="0" fillId="0" fontId="7" numFmtId="164" xfId="0" applyAlignment="1" applyFont="1" applyNumberFormat="1">
      <alignment readingOrder="0"/>
    </xf>
    <xf borderId="0" fillId="0" fontId="7" numFmtId="164" xfId="0" applyFont="1" applyNumberFormat="1"/>
    <xf borderId="0" fillId="2" fontId="7" numFmtId="164" xfId="0" applyFont="1" applyNumberFormat="1"/>
    <xf borderId="5" fillId="0" fontId="8" numFmtId="10" xfId="0" applyBorder="1" applyFont="1" applyNumberFormat="1"/>
    <xf borderId="0" fillId="0" fontId="11" numFmtId="10" xfId="0" applyFont="1" applyNumberFormat="1"/>
    <xf borderId="0" fillId="0" fontId="11" numFmtId="0" xfId="0" applyAlignment="1" applyFont="1">
      <alignment readingOrder="0"/>
    </xf>
    <xf borderId="0" fillId="0" fontId="7" numFmtId="0" xfId="0" applyAlignment="1" applyFont="1">
      <alignment readingOrder="0"/>
    </xf>
    <xf borderId="0" fillId="2" fontId="7" numFmtId="164" xfId="0" applyAlignment="1" applyFont="1" applyNumberFormat="1">
      <alignment readingOrder="0"/>
    </xf>
    <xf borderId="0" fillId="0" fontId="11" numFmtId="4" xfId="0" applyFont="1" applyNumberFormat="1"/>
    <xf borderId="1" fillId="0" fontId="7" numFmtId="0" xfId="0" applyAlignment="1" applyBorder="1" applyFont="1">
      <alignment readingOrder="0"/>
    </xf>
    <xf borderId="1" fillId="0" fontId="7" numFmtId="164" xfId="0" applyAlignment="1" applyBorder="1" applyFont="1" applyNumberFormat="1">
      <alignment readingOrder="0"/>
    </xf>
    <xf borderId="6" fillId="0" fontId="8" numFmtId="10" xfId="0" applyBorder="1" applyFont="1" applyNumberFormat="1"/>
    <xf borderId="7" fillId="0" fontId="8" numFmtId="0" xfId="0" applyBorder="1" applyFont="1"/>
    <xf borderId="2" fillId="0" fontId="8" numFmtId="164" xfId="0" applyBorder="1" applyFont="1" applyNumberFormat="1"/>
    <xf borderId="8" fillId="2" fontId="8" numFmtId="164" xfId="0" applyBorder="1" applyFont="1" applyNumberFormat="1"/>
    <xf borderId="0" fillId="0" fontId="11" numFmtId="4" xfId="0" applyAlignment="1" applyFont="1" applyNumberFormat="1">
      <alignment readingOrder="0"/>
    </xf>
    <xf borderId="0" fillId="2" fontId="7" numFmtId="0" xfId="0" applyFont="1"/>
    <xf borderId="0" fillId="0" fontId="7" numFmtId="165" xfId="0" applyFont="1" applyNumberFormat="1"/>
    <xf borderId="0" fillId="0" fontId="12" numFmtId="166" xfId="0" applyFont="1" applyNumberFormat="1"/>
    <xf borderId="0" fillId="0" fontId="12" numFmtId="10" xfId="0" applyFont="1" applyNumberFormat="1"/>
    <xf borderId="0" fillId="0" fontId="6" numFmtId="10" xfId="0" applyFont="1" applyNumberFormat="1"/>
    <xf borderId="0" fillId="0" fontId="12" numFmtId="0" xfId="0" applyFont="1"/>
    <xf borderId="0" fillId="0" fontId="12" numFmtId="0" xfId="0" applyAlignment="1" applyFont="1">
      <alignment readingOrder="0"/>
    </xf>
    <xf borderId="1" fillId="0" fontId="7" numFmtId="0" xfId="0" applyBorder="1" applyFont="1"/>
    <xf borderId="9" fillId="0" fontId="7" numFmtId="164" xfId="0" applyBorder="1" applyFont="1" applyNumberFormat="1"/>
    <xf borderId="9" fillId="0" fontId="7" numFmtId="164" xfId="0" applyAlignment="1" applyBorder="1" applyFont="1" applyNumberFormat="1">
      <alignment readingOrder="0"/>
    </xf>
    <xf borderId="0" fillId="0" fontId="13" numFmtId="165" xfId="0" applyFont="1" applyNumberFormat="1"/>
    <xf borderId="0" fillId="0" fontId="11" numFmtId="3" xfId="0" applyFont="1" applyNumberFormat="1"/>
    <xf borderId="1" fillId="2" fontId="7" numFmtId="164" xfId="0" applyAlignment="1" applyBorder="1" applyFont="1" applyNumberFormat="1">
      <alignment readingOrder="0"/>
    </xf>
    <xf borderId="10" fillId="0" fontId="8" numFmtId="0" xfId="0" applyBorder="1" applyFont="1"/>
    <xf borderId="9" fillId="0" fontId="8" numFmtId="164" xfId="0" applyBorder="1" applyFont="1" applyNumberFormat="1"/>
    <xf borderId="1" fillId="2" fontId="8" numFmtId="164" xfId="0" applyBorder="1" applyFont="1" applyNumberFormat="1"/>
    <xf borderId="8" fillId="0" fontId="8" numFmtId="164" xfId="0" applyBorder="1" applyFont="1" applyNumberFormat="1"/>
    <xf borderId="11" fillId="0" fontId="8" numFmtId="10" xfId="0" applyBorder="1" applyFont="1" applyNumberFormat="1"/>
    <xf borderId="10" fillId="0" fontId="8" numFmtId="0" xfId="0" applyAlignment="1" applyBorder="1" applyFont="1">
      <alignment readingOrder="0"/>
    </xf>
    <xf borderId="1" fillId="0" fontId="8" numFmtId="167" xfId="0" applyAlignment="1" applyBorder="1" applyFont="1" applyNumberFormat="1">
      <alignment readingOrder="0"/>
    </xf>
    <xf borderId="1" fillId="2" fontId="8" numFmtId="164" xfId="0" applyAlignment="1" applyBorder="1" applyFont="1" applyNumberFormat="1">
      <alignment readingOrder="0"/>
    </xf>
    <xf borderId="1" fillId="0" fontId="8" numFmtId="0" xfId="0" applyAlignment="1" applyBorder="1" applyFont="1">
      <alignment readingOrder="0"/>
    </xf>
    <xf borderId="1" fillId="0" fontId="8" numFmtId="164" xfId="0" applyBorder="1" applyFont="1" applyNumberFormat="1"/>
    <xf borderId="0" fillId="0" fontId="12" numFmtId="164" xfId="0" applyFont="1" applyNumberFormat="1"/>
    <xf borderId="0" fillId="0" fontId="5" numFmtId="0" xfId="0" applyAlignment="1" applyFont="1">
      <alignment readingOrder="0"/>
    </xf>
    <xf borderId="0" fillId="0" fontId="6" numFmtId="164" xfId="0" applyFont="1" applyNumberFormat="1"/>
    <xf borderId="0" fillId="2" fontId="6" numFmtId="164" xfId="0" applyFont="1" applyNumberFormat="1"/>
    <xf borderId="0" fillId="0" fontId="8" numFmtId="0" xfId="0" applyAlignment="1" applyFont="1">
      <alignment readingOrder="0"/>
    </xf>
    <xf borderId="0" fillId="0" fontId="8" numFmtId="0" xfId="0" applyAlignment="1" applyFont="1">
      <alignment readingOrder="0" shrinkToFit="0" wrapText="1"/>
    </xf>
    <xf borderId="12" fillId="0" fontId="8" numFmtId="0" xfId="0" applyAlignment="1" applyBorder="1" applyFont="1">
      <alignment readingOrder="0"/>
    </xf>
    <xf borderId="0" fillId="0" fontId="8" numFmtId="164" xfId="0" applyFont="1" applyNumberFormat="1"/>
    <xf borderId="0" fillId="2" fontId="8" numFmtId="164" xfId="0" applyFont="1" applyNumberFormat="1"/>
    <xf borderId="13" fillId="0" fontId="8" numFmtId="10" xfId="0" applyBorder="1" applyFont="1" applyNumberFormat="1"/>
    <xf borderId="3" fillId="0" fontId="8" numFmtId="164" xfId="0" applyBorder="1" applyFont="1" applyNumberFormat="1"/>
    <xf borderId="3" fillId="2" fontId="8" numFmtId="164" xfId="0" applyBorder="1" applyFont="1" applyNumberFormat="1"/>
    <xf borderId="9" fillId="2" fontId="8" numFmtId="164" xfId="0" applyBorder="1" applyFont="1" applyNumberFormat="1"/>
    <xf borderId="0" fillId="0" fontId="13" numFmtId="168" xfId="0" applyAlignment="1" applyFont="1" applyNumberFormat="1">
      <alignment horizontal="left" readingOrder="0"/>
    </xf>
    <xf borderId="0" fillId="2" fontId="13" numFmtId="168" xfId="0" applyAlignment="1" applyFont="1" applyNumberFormat="1">
      <alignment horizontal="left" readingOrder="0"/>
    </xf>
    <xf borderId="14" fillId="0" fontId="13" numFmtId="0" xfId="0" applyBorder="1" applyFont="1"/>
    <xf borderId="0" fillId="0" fontId="13" numFmtId="2" xfId="0" applyFont="1" applyNumberFormat="1"/>
    <xf borderId="0" fillId="2" fontId="13" numFmtId="2" xfId="0" applyFont="1" applyNumberFormat="1"/>
    <xf borderId="0" fillId="2" fontId="7" numFmtId="166" xfId="0" applyFont="1" applyNumberFormat="1"/>
    <xf borderId="5" fillId="2" fontId="8" numFmtId="10" xfId="0" applyBorder="1" applyFont="1" applyNumberFormat="1"/>
    <xf borderId="0" fillId="0" fontId="12" numFmtId="167" xfId="0" applyFont="1" applyNumberFormat="1"/>
    <xf borderId="0" fillId="2" fontId="12" numFmtId="167" xfId="0" applyFont="1" applyNumberFormat="1"/>
    <xf borderId="0" fillId="2" fontId="11" numFmtId="0" xfId="0" applyFont="1"/>
    <xf borderId="0" fillId="2" fontId="12" numFmtId="0" xfId="0" applyAlignment="1" applyFont="1">
      <alignment readingOrder="0"/>
    </xf>
    <xf borderId="0" fillId="2" fontId="14" numFmtId="0" xfId="0" applyAlignment="1" applyFont="1">
      <alignment readingOrder="0"/>
    </xf>
    <xf borderId="0" fillId="0" fontId="12" numFmtId="2" xfId="0" applyFont="1" applyNumberFormat="1"/>
    <xf borderId="0" fillId="2" fontId="12" numFmtId="2" xfId="0" applyFont="1" applyNumberFormat="1"/>
    <xf borderId="0" fillId="0" fontId="11" numFmtId="169" xfId="0" applyAlignment="1" applyFont="1" applyNumberFormat="1">
      <alignment readingOrder="0"/>
    </xf>
    <xf borderId="0" fillId="0" fontId="11" numFmtId="170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1.22" defaultRowHeight="15.0"/>
  <cols>
    <col customWidth="1" min="1" max="1" width="33.56"/>
    <col customWidth="1" min="2" max="6" width="15.22"/>
    <col customWidth="1" min="7" max="8" width="19.67"/>
    <col customWidth="1" min="9" max="9" width="13.67"/>
    <col customWidth="1" min="10" max="10" width="10.89"/>
    <col customWidth="1" min="11" max="11" width="12.44"/>
    <col customWidth="1" min="12" max="12" width="15.67"/>
    <col customWidth="1" min="13" max="13" width="12.11"/>
    <col customWidth="1" min="14" max="26" width="8.56"/>
  </cols>
  <sheetData>
    <row r="1" ht="12.75" customHeight="1">
      <c r="A1" s="1"/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2" t="s">
        <v>5</v>
      </c>
      <c r="H1" s="3" t="s">
        <v>6</v>
      </c>
      <c r="I1" s="3" t="s">
        <v>7</v>
      </c>
      <c r="K1" s="4" t="s">
        <v>8</v>
      </c>
    </row>
    <row r="2" ht="12.75" customHeight="1">
      <c r="A2" s="5" t="s">
        <v>9</v>
      </c>
      <c r="B2" s="6"/>
      <c r="C2" s="6"/>
      <c r="D2" s="6"/>
      <c r="E2" s="6"/>
      <c r="F2" s="6"/>
      <c r="G2" s="7"/>
      <c r="H2" s="6"/>
      <c r="I2" s="8"/>
    </row>
    <row r="3" ht="12.75" customHeight="1">
      <c r="A3" s="9" t="s">
        <v>10</v>
      </c>
      <c r="B3" s="10" t="s">
        <v>11</v>
      </c>
      <c r="C3" s="10" t="s">
        <v>11</v>
      </c>
      <c r="D3" s="11" t="s">
        <v>11</v>
      </c>
      <c r="E3" s="11" t="s">
        <v>11</v>
      </c>
      <c r="F3" s="11" t="s">
        <v>11</v>
      </c>
      <c r="G3" s="12" t="s">
        <v>12</v>
      </c>
      <c r="H3" s="13"/>
      <c r="I3" s="14"/>
    </row>
    <row r="4" ht="12.75" customHeight="1">
      <c r="A4" s="15" t="s">
        <v>13</v>
      </c>
      <c r="B4" s="16">
        <f>66467911.21+374912.56-B5-B7-B8-B9</f>
        <v>58187592.15</v>
      </c>
      <c r="C4" s="17">
        <f>68935392.68-C5-C7-C8-C9</f>
        <v>60329879.6</v>
      </c>
      <c r="D4" s="17">
        <f>68757596.11-D5-D7-D8-D9</f>
        <v>59834206.38</v>
      </c>
      <c r="E4" s="17">
        <f>72861389-E5-E7-E8-E9</f>
        <v>63227647</v>
      </c>
      <c r="F4" s="17">
        <f>80557885-F5-F7-F8-F9</f>
        <v>70595785</v>
      </c>
      <c r="G4" s="18">
        <f>88838322-G5-G7-G8-G9+500760</f>
        <v>79080282</v>
      </c>
      <c r="H4" s="17">
        <f t="shared" ref="H4:H10" si="1">G4-F4</f>
        <v>8484497</v>
      </c>
      <c r="I4" s="19">
        <f t="shared" ref="I4:I10" si="2">H4/F4</f>
        <v>0.1201841866</v>
      </c>
      <c r="K4" s="20">
        <f>(G4+G5)/G28</f>
        <v>0.6582465141</v>
      </c>
      <c r="L4" s="21" t="s">
        <v>14</v>
      </c>
    </row>
    <row r="5" ht="12.75" customHeight="1">
      <c r="A5" s="22" t="s">
        <v>15</v>
      </c>
      <c r="B5" s="16">
        <v>3511673.94</v>
      </c>
      <c r="C5" s="16">
        <v>3567356.12</v>
      </c>
      <c r="D5" s="16">
        <v>3997729.0</v>
      </c>
      <c r="E5" s="16">
        <f>4632795+195225</f>
        <v>4828020</v>
      </c>
      <c r="F5" s="16">
        <v>5278300.0</v>
      </c>
      <c r="G5" s="23">
        <v>5696763.0</v>
      </c>
      <c r="H5" s="17">
        <f t="shared" si="1"/>
        <v>418463</v>
      </c>
      <c r="I5" s="19">
        <f t="shared" si="2"/>
        <v>0.07927988178</v>
      </c>
      <c r="K5" s="20"/>
      <c r="L5" s="24"/>
    </row>
    <row r="6" ht="12.75" customHeight="1">
      <c r="A6" s="22" t="s">
        <v>16</v>
      </c>
      <c r="B6" s="16">
        <v>0.0</v>
      </c>
      <c r="C6" s="16">
        <v>0.0</v>
      </c>
      <c r="D6" s="16">
        <v>0.0</v>
      </c>
      <c r="E6" s="16">
        <v>0.0</v>
      </c>
      <c r="F6" s="16">
        <v>29812.0</v>
      </c>
      <c r="G6" s="23">
        <v>175088.0</v>
      </c>
      <c r="H6" s="17">
        <f t="shared" si="1"/>
        <v>145276</v>
      </c>
      <c r="I6" s="19">
        <f t="shared" si="2"/>
        <v>4.873071246</v>
      </c>
      <c r="K6" s="20"/>
      <c r="L6" s="21"/>
    </row>
    <row r="7" ht="12.75" customHeight="1">
      <c r="A7" s="22" t="s">
        <v>17</v>
      </c>
      <c r="B7" s="16">
        <f>597714.8+67221.79</f>
        <v>664936.59</v>
      </c>
      <c r="C7" s="16">
        <f>587312.98+56559.92</f>
        <v>643872.9</v>
      </c>
      <c r="D7" s="16">
        <f>576651.11+44857.87</f>
        <v>621508.98</v>
      </c>
      <c r="E7" s="16">
        <f>564949+33156</f>
        <v>598105</v>
      </c>
      <c r="F7" s="16">
        <f>553247+22104</f>
        <v>575351</v>
      </c>
      <c r="G7" s="23">
        <v>553247.0</v>
      </c>
      <c r="H7" s="17">
        <f t="shared" si="1"/>
        <v>-22104</v>
      </c>
      <c r="I7" s="19">
        <f t="shared" si="2"/>
        <v>-0.03841828727</v>
      </c>
      <c r="K7" s="20">
        <f>(G6+G7+G8+G9)/G28</f>
        <v>0.03678113596</v>
      </c>
      <c r="L7" s="21" t="s">
        <v>18</v>
      </c>
    </row>
    <row r="8" ht="12.75" customHeight="1">
      <c r="A8" s="22" t="s">
        <v>19</v>
      </c>
      <c r="B8" s="16">
        <f>1110095.43+175538.36</f>
        <v>1285633.79</v>
      </c>
      <c r="C8" s="16">
        <f>1087301.36+151604.58</f>
        <v>1238905.94</v>
      </c>
      <c r="D8" s="16">
        <f>1063367.58+126531.1</f>
        <v>1189898.68</v>
      </c>
      <c r="E8" s="16">
        <f>1038294+99178</f>
        <v>1137472</v>
      </c>
      <c r="F8" s="16">
        <f>1010941+74561</f>
        <v>1085502</v>
      </c>
      <c r="G8" s="23">
        <v>1035811.0</v>
      </c>
      <c r="H8" s="17">
        <f t="shared" si="1"/>
        <v>-49691</v>
      </c>
      <c r="I8" s="19">
        <f t="shared" si="2"/>
        <v>-0.04577697692</v>
      </c>
      <c r="K8" s="20"/>
      <c r="M8" s="20"/>
    </row>
    <row r="9" ht="12.75" customHeight="1">
      <c r="A9" s="25" t="s">
        <v>20</v>
      </c>
      <c r="B9" s="26">
        <f>2670805.7+522181.6</f>
        <v>3192987.3</v>
      </c>
      <c r="C9" s="26">
        <f>2653013.25+502364.87</f>
        <v>3155378.12</v>
      </c>
      <c r="D9" s="26">
        <f>2633196.52+481056.55</f>
        <v>3114253.07</v>
      </c>
      <c r="E9" s="26">
        <f>2611888+458257</f>
        <v>3070145</v>
      </c>
      <c r="F9" s="26">
        <f>2589088+433859</f>
        <v>3022947</v>
      </c>
      <c r="G9" s="23">
        <v>2972979.0</v>
      </c>
      <c r="H9" s="17">
        <f t="shared" si="1"/>
        <v>-49968</v>
      </c>
      <c r="I9" s="27">
        <f t="shared" si="2"/>
        <v>-0.01652956535</v>
      </c>
      <c r="K9" s="20"/>
      <c r="L9" s="4" t="s">
        <v>21</v>
      </c>
    </row>
    <row r="10" ht="12.75" customHeight="1">
      <c r="A10" s="28" t="s">
        <v>22</v>
      </c>
      <c r="B10" s="29">
        <f t="shared" ref="B10:G10" si="3">SUM(B4:B9)</f>
        <v>66842823.77</v>
      </c>
      <c r="C10" s="29">
        <f t="shared" si="3"/>
        <v>68935392.68</v>
      </c>
      <c r="D10" s="29">
        <f t="shared" si="3"/>
        <v>68757596.11</v>
      </c>
      <c r="E10" s="29">
        <f t="shared" si="3"/>
        <v>72861389</v>
      </c>
      <c r="F10" s="29">
        <f t="shared" si="3"/>
        <v>80587697</v>
      </c>
      <c r="G10" s="30">
        <f t="shared" si="3"/>
        <v>89514170</v>
      </c>
      <c r="H10" s="29">
        <f t="shared" si="1"/>
        <v>8926473</v>
      </c>
      <c r="I10" s="27">
        <f t="shared" si="2"/>
        <v>0.1107671932</v>
      </c>
      <c r="K10" s="20"/>
      <c r="L10" s="31">
        <v>1.28792243E8</v>
      </c>
    </row>
    <row r="11" ht="12.75" customHeight="1">
      <c r="A11" s="9" t="s">
        <v>23</v>
      </c>
      <c r="B11" s="15"/>
      <c r="C11" s="15"/>
      <c r="D11" s="15"/>
      <c r="E11" s="15"/>
      <c r="F11" s="15"/>
      <c r="G11" s="32"/>
      <c r="H11" s="15"/>
      <c r="I11" s="33"/>
      <c r="J11" s="34"/>
      <c r="K11" s="20"/>
    </row>
    <row r="12" ht="12.75" customHeight="1">
      <c r="A12" s="13" t="s">
        <v>24</v>
      </c>
      <c r="B12" s="16">
        <f>18387513.33-1489621.09</f>
        <v>16897892.24</v>
      </c>
      <c r="C12" s="16">
        <v>1.717478166E7</v>
      </c>
      <c r="D12" s="16">
        <v>1.7525833E7</v>
      </c>
      <c r="E12" s="16">
        <v>1.7739945E7</v>
      </c>
      <c r="F12" s="16">
        <v>1.8724357E7</v>
      </c>
      <c r="G12" s="23">
        <v>2.0341945E7</v>
      </c>
      <c r="H12" s="17">
        <f t="shared" ref="H12:H15" si="4">G12-F12</f>
        <v>1617588</v>
      </c>
      <c r="I12" s="19">
        <f t="shared" ref="I12:I15" si="5">H12/F12</f>
        <v>0.0863895086</v>
      </c>
      <c r="J12" s="35"/>
      <c r="K12" s="36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</row>
    <row r="13" ht="12.75" customHeight="1">
      <c r="A13" s="15" t="s">
        <v>25</v>
      </c>
      <c r="B13" s="16">
        <v>2365968.75</v>
      </c>
      <c r="C13" s="16">
        <f>7051622-C7-C8-C9</f>
        <v>2013465.04</v>
      </c>
      <c r="D13" s="16">
        <f>6910824-D7-D8-D9</f>
        <v>1985163.27</v>
      </c>
      <c r="E13" s="16">
        <f>6728326-E7-E8-E9</f>
        <v>1922604</v>
      </c>
      <c r="F13" s="16">
        <f>6265357-F7-F8-F9</f>
        <v>1581557</v>
      </c>
      <c r="G13" s="18">
        <f>6077021-G7-G8-G9</f>
        <v>1514984</v>
      </c>
      <c r="H13" s="17">
        <f t="shared" si="4"/>
        <v>-66573</v>
      </c>
      <c r="I13" s="19">
        <f t="shared" si="5"/>
        <v>-0.04209332955</v>
      </c>
      <c r="K13" s="20"/>
      <c r="M13" s="38"/>
      <c r="N13" s="37"/>
    </row>
    <row r="14" ht="12.75" customHeight="1">
      <c r="A14" s="39" t="s">
        <v>26</v>
      </c>
      <c r="B14" s="40">
        <f>93352509.03-1114708.53-B10-B12-B13-B25-B27</f>
        <v>815115.74</v>
      </c>
      <c r="C14" s="40">
        <f>98054985-C10-C12-C13-C25-C27</f>
        <v>4396095.62</v>
      </c>
      <c r="D14" s="40">
        <f>101092617-D10-D12-D13-D25-D27</f>
        <v>7263774.62</v>
      </c>
      <c r="E14" s="40">
        <f>109645575-E10-E25-E27-E12-E13-E26</f>
        <v>10400638</v>
      </c>
      <c r="F14" s="41">
        <v>1.0677083E7</v>
      </c>
      <c r="G14" s="18">
        <f>L10-G10-G25-G26-G27-G12-G13</f>
        <v>11640743</v>
      </c>
      <c r="H14" s="17">
        <f t="shared" si="4"/>
        <v>963660</v>
      </c>
      <c r="I14" s="27">
        <f t="shared" si="5"/>
        <v>0.09025498818</v>
      </c>
      <c r="K14" s="20"/>
    </row>
    <row r="15" ht="12.75" customHeight="1">
      <c r="A15" s="28" t="s">
        <v>27</v>
      </c>
      <c r="B15" s="29">
        <f t="shared" ref="B15:D15" si="6">sum(B12:B14)</f>
        <v>20078976.73</v>
      </c>
      <c r="C15" s="29">
        <f t="shared" si="6"/>
        <v>23584342.32</v>
      </c>
      <c r="D15" s="29">
        <f t="shared" si="6"/>
        <v>26774770.89</v>
      </c>
      <c r="E15" s="29">
        <f t="shared" ref="E15:G15" si="7">SUM(E12:E14)</f>
        <v>30063187</v>
      </c>
      <c r="F15" s="29">
        <f t="shared" si="7"/>
        <v>30982997</v>
      </c>
      <c r="G15" s="30">
        <f t="shared" si="7"/>
        <v>33497672</v>
      </c>
      <c r="H15" s="29">
        <f t="shared" si="4"/>
        <v>2514675</v>
      </c>
      <c r="I15" s="27">
        <f t="shared" si="5"/>
        <v>0.08116306502</v>
      </c>
      <c r="K15" s="20">
        <f>G15/G28</f>
        <v>0.2600907572</v>
      </c>
      <c r="L15" s="21" t="s">
        <v>23</v>
      </c>
    </row>
    <row r="16" ht="12.75" customHeight="1">
      <c r="A16" s="9" t="s">
        <v>28</v>
      </c>
      <c r="B16" s="17"/>
      <c r="C16" s="17"/>
      <c r="D16" s="17"/>
      <c r="E16" s="17"/>
      <c r="F16" s="17"/>
      <c r="G16" s="18"/>
      <c r="H16" s="17"/>
      <c r="I16" s="42"/>
      <c r="K16" s="36"/>
    </row>
    <row r="17" ht="12.75" customHeight="1">
      <c r="A17" s="15" t="s">
        <v>29</v>
      </c>
      <c r="B17" s="16">
        <f>40000+30000</f>
        <v>70000</v>
      </c>
      <c r="C17" s="16">
        <f>40000+15000</f>
        <v>55000</v>
      </c>
      <c r="D17" s="16">
        <f>35000+30000</f>
        <v>65000</v>
      </c>
      <c r="E17" s="16">
        <v>80000.0</v>
      </c>
      <c r="F17" s="16">
        <f t="shared" ref="F17:G17" si="8">50000+40000</f>
        <v>90000</v>
      </c>
      <c r="G17" s="18">
        <f t="shared" si="8"/>
        <v>90000</v>
      </c>
      <c r="H17" s="17">
        <f t="shared" ref="H17:H28" si="9">G17-F17</f>
        <v>0</v>
      </c>
      <c r="I17" s="19">
        <f t="shared" ref="I17:I22" si="10">H17/F17</f>
        <v>0</v>
      </c>
      <c r="K17" s="20"/>
      <c r="L17" s="21" t="s">
        <v>30</v>
      </c>
      <c r="M17" s="24">
        <f>G42/100000</f>
        <v>23339.2051</v>
      </c>
      <c r="N17">
        <f>75000/M17</f>
        <v>3.213477052</v>
      </c>
    </row>
    <row r="18" ht="12.75" customHeight="1">
      <c r="A18" s="15" t="s">
        <v>31</v>
      </c>
      <c r="B18" s="16">
        <v>175000.0</v>
      </c>
      <c r="C18" s="16">
        <v>400000.0</v>
      </c>
      <c r="D18" s="16">
        <v>400000.0</v>
      </c>
      <c r="E18" s="16">
        <v>450000.0</v>
      </c>
      <c r="F18" s="16">
        <v>1500000.0</v>
      </c>
      <c r="G18" s="23">
        <v>1500000.0</v>
      </c>
      <c r="H18" s="17">
        <f t="shared" si="9"/>
        <v>0</v>
      </c>
      <c r="I18" s="19">
        <f t="shared" si="10"/>
        <v>0</v>
      </c>
      <c r="K18" s="20"/>
      <c r="L18" s="21" t="s">
        <v>32</v>
      </c>
      <c r="M18" s="43">
        <f>F41*0.01</f>
        <v>1176787.31</v>
      </c>
    </row>
    <row r="19" ht="12.75" customHeight="1">
      <c r="A19" s="22" t="s">
        <v>33</v>
      </c>
      <c r="B19" s="16">
        <v>1000.0</v>
      </c>
      <c r="C19" s="16">
        <v>250.0</v>
      </c>
      <c r="D19" s="16">
        <v>250.0</v>
      </c>
      <c r="E19" s="16">
        <v>150.0</v>
      </c>
      <c r="F19" s="16">
        <v>200.0</v>
      </c>
      <c r="G19" s="23">
        <v>200.0</v>
      </c>
      <c r="H19" s="17">
        <f t="shared" si="9"/>
        <v>0</v>
      </c>
      <c r="I19" s="19">
        <f t="shared" si="10"/>
        <v>0</v>
      </c>
      <c r="K19" s="20"/>
      <c r="L19" s="21" t="s">
        <v>34</v>
      </c>
      <c r="M19" s="43">
        <f>F38*0.01</f>
        <v>315130.01</v>
      </c>
    </row>
    <row r="20" ht="12.75" customHeight="1">
      <c r="A20" s="22" t="s">
        <v>35</v>
      </c>
      <c r="B20" s="16">
        <v>0.0</v>
      </c>
      <c r="C20" s="16">
        <v>10000.0</v>
      </c>
      <c r="D20" s="16">
        <v>15000.0</v>
      </c>
      <c r="E20" s="16">
        <v>10000.0</v>
      </c>
      <c r="F20" s="16">
        <v>15000.0</v>
      </c>
      <c r="G20" s="23">
        <v>15000.0</v>
      </c>
      <c r="H20" s="17">
        <f t="shared" si="9"/>
        <v>0</v>
      </c>
      <c r="I20" s="19">
        <f t="shared" si="10"/>
        <v>0</v>
      </c>
      <c r="K20" s="20"/>
    </row>
    <row r="21" ht="12.75" customHeight="1">
      <c r="A21" s="22" t="s">
        <v>36</v>
      </c>
      <c r="B21" s="16">
        <v>35000.0</v>
      </c>
      <c r="C21" s="16">
        <v>35000.0</v>
      </c>
      <c r="D21" s="16">
        <v>40000.0</v>
      </c>
      <c r="E21" s="16">
        <v>45000.0</v>
      </c>
      <c r="F21" s="16">
        <v>50000.0</v>
      </c>
      <c r="G21" s="23">
        <v>40000.0</v>
      </c>
      <c r="H21" s="17">
        <f t="shared" si="9"/>
        <v>-10000</v>
      </c>
      <c r="I21" s="19">
        <f t="shared" si="10"/>
        <v>-0.2</v>
      </c>
      <c r="K21" s="20"/>
    </row>
    <row r="22" ht="12.75" customHeight="1">
      <c r="A22" s="22" t="s">
        <v>37</v>
      </c>
      <c r="B22" s="16">
        <v>0.0</v>
      </c>
      <c r="C22" s="16">
        <v>0.0</v>
      </c>
      <c r="D22" s="16">
        <v>0.0</v>
      </c>
      <c r="E22" s="16">
        <v>0.0</v>
      </c>
      <c r="F22" s="16">
        <v>51198.0</v>
      </c>
      <c r="G22" s="23">
        <v>85201.0</v>
      </c>
      <c r="H22" s="17">
        <f t="shared" si="9"/>
        <v>34003</v>
      </c>
      <c r="I22" s="19">
        <f t="shared" si="10"/>
        <v>0.664147037</v>
      </c>
      <c r="K22" s="20"/>
    </row>
    <row r="23" ht="12.75" customHeight="1">
      <c r="A23" s="22" t="s">
        <v>38</v>
      </c>
      <c r="B23" s="16">
        <v>0.0</v>
      </c>
      <c r="C23" s="16">
        <v>0.0</v>
      </c>
      <c r="D23" s="16">
        <v>0.0</v>
      </c>
      <c r="E23" s="16">
        <v>0.0</v>
      </c>
      <c r="F23" s="16">
        <v>0.0</v>
      </c>
      <c r="G23" s="23">
        <v>500000.0</v>
      </c>
      <c r="H23" s="17">
        <f t="shared" si="9"/>
        <v>500000</v>
      </c>
      <c r="I23" s="19"/>
      <c r="K23" s="20"/>
    </row>
    <row r="24" ht="12.75" customHeight="1">
      <c r="A24" s="39" t="s">
        <v>39</v>
      </c>
      <c r="B24" s="26">
        <v>35000.0</v>
      </c>
      <c r="C24" s="26">
        <v>35000.0</v>
      </c>
      <c r="D24" s="26">
        <v>40000.0</v>
      </c>
      <c r="E24" s="26">
        <v>40000.0</v>
      </c>
      <c r="F24" s="26">
        <v>50000.0</v>
      </c>
      <c r="G24" s="44">
        <v>50000.0</v>
      </c>
      <c r="H24" s="17">
        <f t="shared" si="9"/>
        <v>0</v>
      </c>
      <c r="I24" s="19">
        <f t="shared" ref="I24:I25" si="12">H24/F24</f>
        <v>0</v>
      </c>
      <c r="K24" s="20"/>
    </row>
    <row r="25" ht="12.75" customHeight="1">
      <c r="A25" s="45" t="s">
        <v>40</v>
      </c>
      <c r="B25" s="46">
        <f t="shared" ref="B25:G25" si="11">SUM(B17:B24)</f>
        <v>316000</v>
      </c>
      <c r="C25" s="46">
        <f t="shared" si="11"/>
        <v>535250</v>
      </c>
      <c r="D25" s="46">
        <f t="shared" si="11"/>
        <v>560250</v>
      </c>
      <c r="E25" s="46">
        <f t="shared" si="11"/>
        <v>625150</v>
      </c>
      <c r="F25" s="46">
        <f t="shared" si="11"/>
        <v>1756398</v>
      </c>
      <c r="G25" s="47">
        <f t="shared" si="11"/>
        <v>2280401</v>
      </c>
      <c r="H25" s="48">
        <f t="shared" si="9"/>
        <v>524003</v>
      </c>
      <c r="I25" s="49">
        <f t="shared" si="12"/>
        <v>0.2983395563</v>
      </c>
      <c r="K25" s="20">
        <f>G25/G28</f>
        <v>0.01770604306</v>
      </c>
      <c r="L25" s="21" t="s">
        <v>28</v>
      </c>
    </row>
    <row r="26" ht="12.75" customHeight="1">
      <c r="A26" s="50" t="s">
        <v>41</v>
      </c>
      <c r="B26" s="51">
        <v>0.0</v>
      </c>
      <c r="C26" s="51">
        <v>0.0</v>
      </c>
      <c r="D26" s="51">
        <v>0.0</v>
      </c>
      <c r="E26" s="51">
        <v>650000.0</v>
      </c>
      <c r="F26" s="51">
        <v>0.0</v>
      </c>
      <c r="G26" s="52">
        <v>0.0</v>
      </c>
      <c r="H26" s="48">
        <f t="shared" si="9"/>
        <v>0</v>
      </c>
      <c r="I26" s="49"/>
      <c r="K26" s="20"/>
      <c r="L26" s="21"/>
    </row>
    <row r="27" ht="12.75" customHeight="1">
      <c r="A27" s="45" t="s">
        <v>42</v>
      </c>
      <c r="B27" s="51">
        <v>5000000.0</v>
      </c>
      <c r="C27" s="51">
        <v>5000000.0</v>
      </c>
      <c r="D27" s="51">
        <v>5000000.0</v>
      </c>
      <c r="E27" s="51">
        <f>5000000-(111187082-110532931)+1100000</f>
        <v>5445849</v>
      </c>
      <c r="F27" s="51">
        <f>4500000-(1500000-450000)</f>
        <v>3450000</v>
      </c>
      <c r="G27" s="52">
        <v>3500000.0</v>
      </c>
      <c r="H27" s="48">
        <f t="shared" si="9"/>
        <v>50000</v>
      </c>
      <c r="I27" s="49">
        <f t="shared" ref="I27:I28" si="14">H27/F27</f>
        <v>0.01449275362</v>
      </c>
      <c r="K27" s="20">
        <f>(G27+G26)/G28</f>
        <v>0.0271755497</v>
      </c>
      <c r="L27" s="21" t="s">
        <v>42</v>
      </c>
    </row>
    <row r="28" ht="12.75" customHeight="1">
      <c r="A28" s="53" t="s">
        <v>43</v>
      </c>
      <c r="B28" s="54">
        <f t="shared" ref="B28:G28" si="13">B10+B15+B25+B26+B27</f>
        <v>92237800.5</v>
      </c>
      <c r="C28" s="54">
        <f t="shared" si="13"/>
        <v>98054985</v>
      </c>
      <c r="D28" s="54">
        <f t="shared" si="13"/>
        <v>101092617</v>
      </c>
      <c r="E28" s="54">
        <f t="shared" si="13"/>
        <v>109645575</v>
      </c>
      <c r="F28" s="54">
        <f t="shared" si="13"/>
        <v>116777092</v>
      </c>
      <c r="G28" s="47">
        <f t="shared" si="13"/>
        <v>128792243</v>
      </c>
      <c r="H28" s="48">
        <f t="shared" si="9"/>
        <v>12015151</v>
      </c>
      <c r="I28" s="49">
        <f t="shared" si="14"/>
        <v>0.1028896232</v>
      </c>
      <c r="J28" s="55"/>
      <c r="K28" s="20"/>
    </row>
    <row r="29" ht="12.75" customHeight="1">
      <c r="A29" s="56"/>
      <c r="B29" s="57"/>
      <c r="C29" s="57"/>
      <c r="D29" s="57"/>
      <c r="E29" s="57"/>
      <c r="F29" s="57"/>
      <c r="G29" s="58"/>
      <c r="H29" s="57"/>
      <c r="I29" s="33"/>
      <c r="J29" s="55"/>
    </row>
    <row r="30" ht="12.75" customHeight="1">
      <c r="A30" s="5" t="s">
        <v>44</v>
      </c>
      <c r="B30" s="57"/>
      <c r="C30" s="57"/>
      <c r="D30" s="57"/>
      <c r="E30" s="57"/>
      <c r="F30" s="57"/>
      <c r="G30" s="58"/>
      <c r="H30" s="57"/>
      <c r="I30" s="33"/>
      <c r="J30" s="55"/>
    </row>
    <row r="31" ht="12.75" customHeight="1">
      <c r="A31" s="59" t="s">
        <v>45</v>
      </c>
      <c r="B31" s="16">
        <v>253061.07</v>
      </c>
      <c r="C31" s="16">
        <v>236372.0</v>
      </c>
      <c r="D31" s="16">
        <v>217780.0</v>
      </c>
      <c r="E31" s="16">
        <v>310610.0</v>
      </c>
      <c r="F31" s="16">
        <v>276481.0</v>
      </c>
      <c r="G31" s="18">
        <f>309316</f>
        <v>309316</v>
      </c>
      <c r="H31" s="17">
        <f t="shared" ref="H31:H34" si="15">G31-F31</f>
        <v>32835</v>
      </c>
      <c r="I31" s="19">
        <f t="shared" ref="I31:I34" si="16">H31/F31</f>
        <v>0.1187604212</v>
      </c>
      <c r="J31" s="55"/>
    </row>
    <row r="32" ht="12.75" customHeight="1">
      <c r="A32" s="60" t="s">
        <v>23</v>
      </c>
      <c r="B32" s="16">
        <v>440687.0</v>
      </c>
      <c r="C32" s="16">
        <v>480687.0</v>
      </c>
      <c r="D32" s="16">
        <v>480687.0</v>
      </c>
      <c r="E32" s="16">
        <v>530004.0</v>
      </c>
      <c r="F32" s="16">
        <v>530004.0</v>
      </c>
      <c r="G32" s="23">
        <f>F32*1.05</f>
        <v>556504.2</v>
      </c>
      <c r="H32" s="17">
        <f t="shared" si="15"/>
        <v>26500.2</v>
      </c>
      <c r="I32" s="19">
        <f t="shared" si="16"/>
        <v>0.05</v>
      </c>
    </row>
    <row r="33" ht="12.75" customHeight="1">
      <c r="A33" s="50" t="s">
        <v>42</v>
      </c>
      <c r="B33" s="16">
        <v>114727.43</v>
      </c>
      <c r="C33" s="16">
        <v>97492.0</v>
      </c>
      <c r="D33" s="16">
        <f>(894274)-D31-D32</f>
        <v>195807</v>
      </c>
      <c r="E33" s="16">
        <f>100000-(940614-935768)</f>
        <v>95154</v>
      </c>
      <c r="F33" s="16">
        <v>95154.0</v>
      </c>
      <c r="G33" s="18">
        <f>918014-G31-G32</f>
        <v>52193.8</v>
      </c>
      <c r="H33" s="17">
        <f t="shared" si="15"/>
        <v>-42960.2</v>
      </c>
      <c r="I33" s="19">
        <f t="shared" si="16"/>
        <v>-0.4514807575</v>
      </c>
      <c r="J33" s="55"/>
    </row>
    <row r="34" ht="12.75" customHeight="1">
      <c r="A34" s="50" t="s">
        <v>46</v>
      </c>
      <c r="B34" s="29">
        <f t="shared" ref="B34:D34" si="17">sum(B31:B33)</f>
        <v>808475.5</v>
      </c>
      <c r="C34" s="29">
        <f t="shared" si="17"/>
        <v>814551</v>
      </c>
      <c r="D34" s="29">
        <f t="shared" si="17"/>
        <v>894274</v>
      </c>
      <c r="E34" s="29">
        <f t="shared" ref="E34:G34" si="18">SUM(E31:E33)</f>
        <v>935768</v>
      </c>
      <c r="F34" s="29">
        <f t="shared" si="18"/>
        <v>901639</v>
      </c>
      <c r="G34" s="30">
        <f t="shared" si="18"/>
        <v>918014</v>
      </c>
      <c r="H34" s="48">
        <f t="shared" si="15"/>
        <v>16375</v>
      </c>
      <c r="I34" s="49">
        <f t="shared" si="16"/>
        <v>0.01816137057</v>
      </c>
      <c r="J34" s="55"/>
    </row>
    <row r="35" ht="12.75" customHeight="1">
      <c r="A35" s="61"/>
      <c r="B35" s="62"/>
      <c r="C35" s="62"/>
      <c r="D35" s="62"/>
      <c r="E35" s="62"/>
      <c r="F35" s="62"/>
      <c r="G35" s="63"/>
      <c r="H35" s="62"/>
      <c r="I35" s="64"/>
      <c r="J35" s="55"/>
    </row>
    <row r="36" ht="12.75" customHeight="1">
      <c r="A36" s="59" t="s">
        <v>47</v>
      </c>
      <c r="B36" s="62">
        <f t="shared" ref="B36:D36" si="19">B27+B33</f>
        <v>5114727.43</v>
      </c>
      <c r="C36" s="62">
        <f t="shared" si="19"/>
        <v>5097492</v>
      </c>
      <c r="D36" s="62">
        <f t="shared" si="19"/>
        <v>5195807</v>
      </c>
      <c r="E36" s="62">
        <f t="shared" ref="E36:G36" si="20">E27+E33+E26</f>
        <v>6191003</v>
      </c>
      <c r="F36" s="62">
        <f t="shared" si="20"/>
        <v>3545154</v>
      </c>
      <c r="G36" s="63">
        <f t="shared" si="20"/>
        <v>3552193.8</v>
      </c>
      <c r="H36" s="17">
        <f t="shared" ref="H36:H39" si="22">G36-F36</f>
        <v>7039.8</v>
      </c>
      <c r="I36" s="19">
        <f t="shared" ref="I36:I39" si="23">H36/F36</f>
        <v>0.001985752946</v>
      </c>
      <c r="J36" s="55"/>
      <c r="K36" s="20">
        <f>G36/G41</f>
        <v>0.02738560452</v>
      </c>
      <c r="L36" s="21" t="s">
        <v>48</v>
      </c>
    </row>
    <row r="37" ht="12.75" customHeight="1">
      <c r="A37" s="61" t="s">
        <v>49</v>
      </c>
      <c r="B37" s="65">
        <f t="shared" ref="B37:G37" si="21">B10+B31</f>
        <v>67095884.84</v>
      </c>
      <c r="C37" s="65">
        <f t="shared" si="21"/>
        <v>69171764.68</v>
      </c>
      <c r="D37" s="65">
        <f t="shared" si="21"/>
        <v>68975376.11</v>
      </c>
      <c r="E37" s="65">
        <f t="shared" si="21"/>
        <v>73171999</v>
      </c>
      <c r="F37" s="65">
        <f t="shared" si="21"/>
        <v>80864178</v>
      </c>
      <c r="G37" s="66">
        <f t="shared" si="21"/>
        <v>89823486</v>
      </c>
      <c r="H37" s="17">
        <f t="shared" si="22"/>
        <v>8959308</v>
      </c>
      <c r="I37" s="19">
        <f t="shared" si="23"/>
        <v>0.1107945226</v>
      </c>
      <c r="J37" s="55"/>
      <c r="K37" s="20">
        <f>G37/G41</f>
        <v>0.6924933161</v>
      </c>
      <c r="L37" s="21" t="s">
        <v>50</v>
      </c>
    </row>
    <row r="38" ht="12.75" customHeight="1">
      <c r="A38" s="61" t="s">
        <v>51</v>
      </c>
      <c r="B38" s="65">
        <f t="shared" ref="B38:G38" si="24">B15+B32</f>
        <v>20519663.73</v>
      </c>
      <c r="C38" s="65">
        <f t="shared" si="24"/>
        <v>24065029.32</v>
      </c>
      <c r="D38" s="65">
        <f t="shared" si="24"/>
        <v>27255457.89</v>
      </c>
      <c r="E38" s="65">
        <f t="shared" si="24"/>
        <v>30593191</v>
      </c>
      <c r="F38" s="65">
        <f t="shared" si="24"/>
        <v>31513001</v>
      </c>
      <c r="G38" s="66">
        <f t="shared" si="24"/>
        <v>34054176.2</v>
      </c>
      <c r="H38" s="17">
        <f t="shared" si="22"/>
        <v>2541175.2</v>
      </c>
      <c r="I38" s="19">
        <f t="shared" si="23"/>
        <v>0.08063894645</v>
      </c>
      <c r="J38" s="55"/>
      <c r="K38" s="20">
        <f>G38/G41</f>
        <v>0.2625403494</v>
      </c>
      <c r="L38" s="21" t="s">
        <v>23</v>
      </c>
    </row>
    <row r="39" ht="12.75" customHeight="1">
      <c r="A39" s="59" t="s">
        <v>52</v>
      </c>
      <c r="B39" s="65">
        <f t="shared" ref="B39:G39" si="25">B25</f>
        <v>316000</v>
      </c>
      <c r="C39" s="65">
        <f t="shared" si="25"/>
        <v>535250</v>
      </c>
      <c r="D39" s="65">
        <f t="shared" si="25"/>
        <v>560250</v>
      </c>
      <c r="E39" s="65">
        <f t="shared" si="25"/>
        <v>625150</v>
      </c>
      <c r="F39" s="65">
        <f t="shared" si="25"/>
        <v>1756398</v>
      </c>
      <c r="G39" s="66">
        <f t="shared" si="25"/>
        <v>2280401</v>
      </c>
      <c r="H39" s="17">
        <f t="shared" si="22"/>
        <v>524003</v>
      </c>
      <c r="I39" s="19">
        <f t="shared" si="23"/>
        <v>0.2983395563</v>
      </c>
      <c r="J39" s="55"/>
      <c r="K39" s="20">
        <f>G39/G41</f>
        <v>0.01758072995</v>
      </c>
      <c r="L39" s="21" t="s">
        <v>28</v>
      </c>
    </row>
    <row r="40">
      <c r="G40" s="18"/>
      <c r="H40" s="17"/>
      <c r="I40" s="19"/>
    </row>
    <row r="41" ht="12.75" customHeight="1">
      <c r="A41" s="50" t="s">
        <v>53</v>
      </c>
      <c r="B41" s="46">
        <f t="shared" ref="B41:G41" si="26">B28+B34</f>
        <v>93046276</v>
      </c>
      <c r="C41" s="46">
        <f t="shared" si="26"/>
        <v>98869536</v>
      </c>
      <c r="D41" s="46">
        <f t="shared" si="26"/>
        <v>101986891</v>
      </c>
      <c r="E41" s="46">
        <f t="shared" si="26"/>
        <v>110581343</v>
      </c>
      <c r="F41" s="46">
        <f t="shared" si="26"/>
        <v>117678731</v>
      </c>
      <c r="G41" s="67">
        <f t="shared" si="26"/>
        <v>129710257</v>
      </c>
      <c r="H41" s="46">
        <f t="shared" ref="H41:H43" si="27">G41-F41</f>
        <v>12031526</v>
      </c>
      <c r="I41" s="49">
        <f t="shared" ref="I41:I43" si="28">H41/F41</f>
        <v>0.1022404465</v>
      </c>
      <c r="J41" s="55"/>
    </row>
    <row r="42" ht="12.75" customHeight="1">
      <c r="A42" s="21" t="s">
        <v>54</v>
      </c>
      <c r="B42" s="68">
        <v>2.10467E9</v>
      </c>
      <c r="C42" s="68">
        <v>2.194480878E9</v>
      </c>
      <c r="D42" s="68">
        <v>2.24048E9</v>
      </c>
      <c r="E42" s="68">
        <v>2.295593E9</v>
      </c>
      <c r="F42" s="68">
        <v>2.314921E9</v>
      </c>
      <c r="G42" s="69">
        <v>2.33392051E9</v>
      </c>
      <c r="H42" s="68">
        <f t="shared" si="27"/>
        <v>18999510</v>
      </c>
      <c r="I42" s="19">
        <f t="shared" si="28"/>
        <v>0.00820741183</v>
      </c>
    </row>
    <row r="43" ht="28.5" customHeight="1">
      <c r="A43" s="70" t="s">
        <v>55</v>
      </c>
      <c r="B43" s="71">
        <f t="shared" ref="B43:G43" si="29">SUM((B15+B32)/B42)*1000</f>
        <v>9.749587218</v>
      </c>
      <c r="C43" s="71">
        <f t="shared" si="29"/>
        <v>10.96616041</v>
      </c>
      <c r="D43" s="71">
        <f t="shared" si="29"/>
        <v>12.16500834</v>
      </c>
      <c r="E43" s="71">
        <f t="shared" si="29"/>
        <v>13.32692293</v>
      </c>
      <c r="F43" s="71">
        <f t="shared" si="29"/>
        <v>13.61299198</v>
      </c>
      <c r="G43" s="72">
        <f t="shared" si="29"/>
        <v>14.59097517</v>
      </c>
      <c r="H43" s="73">
        <f t="shared" si="27"/>
        <v>0.9779831888</v>
      </c>
      <c r="I43" s="74">
        <f t="shared" si="28"/>
        <v>0.07184189857</v>
      </c>
    </row>
    <row r="44" ht="12.75" hidden="1" customHeight="1">
      <c r="B44" s="75"/>
      <c r="C44" s="75"/>
      <c r="D44" s="75"/>
      <c r="E44" s="75"/>
      <c r="F44" s="75"/>
      <c r="G44" s="76"/>
      <c r="H44" s="76"/>
      <c r="I44" s="77"/>
      <c r="J44" s="37" t="s">
        <v>56</v>
      </c>
    </row>
    <row r="45" ht="0.75" customHeight="1">
      <c r="G45" s="77"/>
      <c r="H45" s="77"/>
      <c r="I45" s="77"/>
    </row>
    <row r="46" ht="12.75" customHeight="1">
      <c r="B46" s="38"/>
      <c r="C46" s="38"/>
      <c r="D46" s="38"/>
      <c r="E46" s="38"/>
      <c r="F46" s="38"/>
      <c r="G46" s="78"/>
      <c r="H46" s="78" t="s">
        <v>57</v>
      </c>
      <c r="I46" s="77"/>
    </row>
    <row r="47" ht="12.75" customHeight="1">
      <c r="A47" s="79" t="s">
        <v>58</v>
      </c>
      <c r="B47" s="80"/>
      <c r="C47" s="80"/>
      <c r="D47" s="80"/>
      <c r="E47" s="80"/>
      <c r="F47" s="80"/>
      <c r="G47" s="81"/>
      <c r="H47" s="81">
        <f>SUM(H43*150,0)</f>
        <v>146.6974783</v>
      </c>
      <c r="I47" s="77"/>
    </row>
    <row r="48" ht="12.75" customHeight="1">
      <c r="G48" s="77"/>
      <c r="H48" s="77"/>
      <c r="I48" s="77"/>
    </row>
    <row r="49" ht="12.75" customHeight="1"/>
    <row r="50" ht="12.75" customHeight="1">
      <c r="B50" s="82"/>
      <c r="C50" s="82"/>
      <c r="D50" s="82"/>
      <c r="E50" s="82"/>
      <c r="F50" s="82"/>
      <c r="G50" s="82"/>
      <c r="H50" s="82"/>
    </row>
    <row r="51" ht="12.75" customHeight="1">
      <c r="G51" s="20"/>
    </row>
    <row r="52" ht="12.75" customHeight="1">
      <c r="G52" s="83"/>
      <c r="H52" s="20"/>
    </row>
    <row r="53" ht="12.75" customHeight="1">
      <c r="G53" s="20"/>
      <c r="H53" s="20"/>
    </row>
    <row r="54" ht="12.75" customHeight="1">
      <c r="G54" s="20"/>
      <c r="H54" s="20"/>
    </row>
    <row r="55" ht="12.75" customHeight="1"/>
    <row r="56" ht="12.75" customHeight="1">
      <c r="G56" s="31"/>
      <c r="H56" s="31"/>
    </row>
    <row r="57" ht="12.75" customHeight="1">
      <c r="G57" s="31"/>
      <c r="H57" s="31"/>
    </row>
    <row r="58" ht="12.75" customHeight="1">
      <c r="G58" s="31"/>
      <c r="H58" s="31"/>
    </row>
    <row r="59" ht="12.75" customHeight="1">
      <c r="G59" s="24"/>
      <c r="H59" s="24"/>
    </row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  <row r="1001" ht="12.75" customHeight="1"/>
    <row r="1002" ht="12.75" customHeight="1"/>
    <row r="1003" ht="12.75" customHeight="1"/>
    <row r="1004" ht="12.75" customHeight="1"/>
    <row r="1005" ht="12.75" customHeight="1"/>
    <row r="1006" ht="12.75" customHeight="1"/>
    <row r="1007" ht="12.75" customHeight="1"/>
    <row r="1008" ht="12.75" customHeight="1"/>
    <row r="1009" ht="12.75" customHeight="1"/>
    <row r="1010" ht="12.75" customHeight="1"/>
    <row r="1011" ht="12.75" customHeight="1"/>
    <row r="1012" ht="12.75" customHeight="1"/>
  </sheetData>
  <printOptions/>
  <pageMargins bottom="0.75" footer="0.0" header="0.0" left="0.25" right="0.25" top="0.75"/>
  <pageSetup orientation="landscape"/>
  <headerFooter>
    <oddHeader>&amp;L&amp;F&amp;R</oddHeader>
    <oddFooter>&amp;L&amp;D&amp;R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cols>
    <col customWidth="1" min="1" max="1" width="37.22"/>
  </cols>
  <sheetData/>
  <drawing r:id="rId1"/>
</worksheet>
</file>